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.htw-aalen.de\49705\Desktop\Kostenmodell Artikel\"/>
    </mc:Choice>
  </mc:AlternateContent>
  <bookViews>
    <workbookView xWindow="0" yWindow="0" windowWidth="28800" windowHeight="12300" tabRatio="710"/>
  </bookViews>
  <sheets>
    <sheet name="Eingabeblatt" sheetId="1" r:id="rId1"/>
    <sheet name="Materialkosten" sheetId="4" r:id="rId2"/>
    <sheet name="Steuerblatt" sheetId="3" r:id="rId3"/>
    <sheet name="Drucker" sheetId="5" r:id="rId4"/>
    <sheet name="Modul Engineering" sheetId="6" r:id="rId5"/>
    <sheet name="Modul Nachbearbeitung" sheetId="7" r:id="rId6"/>
    <sheet name="Nachb. FDM&amp;SLS Verfahren" sheetId="8" r:id="rId7"/>
    <sheet name="Modul Qualitätsprüfung" sheetId="9" r:id="rId8"/>
  </sheets>
  <definedNames>
    <definedName name="Drucker">Drucker!$C$3:$C$5</definedName>
    <definedName name="Druckzeit">Eingabeblatt!$D$19</definedName>
    <definedName name="IMP_Farbe">Steuerblatt!$F$3:$F$9</definedName>
    <definedName name="IMP_Kürzel">Steuerblatt!$D$3:$D$10</definedName>
    <definedName name="IMP_Verfahren">Steuerblatt!$B$3:$B$10</definedName>
    <definedName name="M_Colorjet">Materialkosten!$C$13</definedName>
    <definedName name="M_FDM">Materialkosten!$C$14:$C$19</definedName>
    <definedName name="M_HARZ">Materialkosten!$C$5</definedName>
    <definedName name="M_MS">Materialkosten!$C$26</definedName>
    <definedName name="M_Multijet">Materialkosten!$C$9:$C$12</definedName>
    <definedName name="M_PJP">Materialkosten!$C$20:$C$25</definedName>
    <definedName name="M_SLM">Materialkosten!$C$6:$C$8</definedName>
    <definedName name="M_SLS">Materialkosten!$C$3:$C$4</definedName>
    <definedName name="Quaität">'Modul Qualitätsprüfung'!$B$4:$B$5</definedName>
    <definedName name="SLS">Materialkosten!$C$3:$C$4</definedName>
    <definedName name="Stützmaterial">Eingabeblatt!$D$13</definedName>
    <definedName name="Testdrucke">Eingabeblatt!$D$25</definedName>
    <definedName name="Volumen">Eingabeblatt!$D$11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6" i="7"/>
  <c r="D6" i="7"/>
  <c r="E6" i="8"/>
  <c r="C6" i="7"/>
  <c r="C5" i="7"/>
  <c r="C4" i="7"/>
  <c r="C13" i="1"/>
  <c r="K8" i="5"/>
  <c r="L8" i="5" s="1"/>
  <c r="M8" i="5" s="1"/>
  <c r="O8" i="5" s="1"/>
  <c r="I8" i="5"/>
  <c r="H8" i="5"/>
  <c r="F8" i="5"/>
  <c r="G8" i="5"/>
  <c r="J8" i="5"/>
  <c r="D5" i="7"/>
  <c r="D6" i="8"/>
  <c r="F5" i="7"/>
  <c r="F4" i="7"/>
  <c r="B6" i="8"/>
  <c r="K7" i="5"/>
  <c r="H7" i="5"/>
  <c r="H6" i="5"/>
  <c r="I7" i="5"/>
  <c r="F7" i="5"/>
  <c r="G7" i="5"/>
  <c r="J7" i="5"/>
  <c r="K6" i="5"/>
  <c r="J6" i="5"/>
  <c r="L6" i="5" s="1"/>
  <c r="M6" i="5" s="1"/>
  <c r="O6" i="5" s="1"/>
  <c r="I6" i="5"/>
  <c r="G6" i="5"/>
  <c r="F6" i="5"/>
  <c r="K3" i="5"/>
  <c r="J3" i="5"/>
  <c r="I3" i="5"/>
  <c r="F5" i="5"/>
  <c r="F4" i="5"/>
  <c r="F3" i="5"/>
  <c r="I4" i="6"/>
  <c r="G4" i="6"/>
  <c r="G5" i="7" l="1"/>
  <c r="R8" i="5"/>
  <c r="Q8" i="5"/>
  <c r="L7" i="5"/>
  <c r="M7" i="5" s="1"/>
  <c r="O7" i="5" s="1"/>
  <c r="Q7" i="5" s="1"/>
  <c r="R6" i="5"/>
  <c r="Q6" i="5"/>
  <c r="G4" i="4"/>
  <c r="G2" i="4"/>
  <c r="R7" i="5" l="1"/>
  <c r="C4" i="9"/>
  <c r="E4" i="9" s="1"/>
  <c r="H17" i="1" s="1"/>
  <c r="C6" i="8"/>
  <c r="E4" i="7" s="1"/>
  <c r="H11" i="1"/>
  <c r="K4" i="5"/>
  <c r="K5" i="5"/>
  <c r="J4" i="5"/>
  <c r="J5" i="5"/>
  <c r="I4" i="5"/>
  <c r="I5" i="5"/>
  <c r="G4" i="5"/>
  <c r="H4" i="5" s="1"/>
  <c r="G5" i="5"/>
  <c r="H5" i="5" s="1"/>
  <c r="L5" i="5" s="1"/>
  <c r="M5" i="5" s="1"/>
  <c r="O5" i="5" s="1"/>
  <c r="R5" i="5" s="1"/>
  <c r="G3" i="5"/>
  <c r="H3" i="5" s="1"/>
  <c r="E15" i="1"/>
  <c r="Q5" i="5" l="1"/>
  <c r="L4" i="5"/>
  <c r="M4" i="5" s="1"/>
  <c r="O4" i="5" s="1"/>
  <c r="L3" i="5"/>
  <c r="M3" i="5" s="1"/>
  <c r="O3" i="5" s="1"/>
  <c r="R4" i="5" l="1"/>
  <c r="Q4" i="5"/>
  <c r="R3" i="5"/>
  <c r="Q3" i="5"/>
  <c r="G4" i="7" l="1"/>
  <c r="H15" i="1" l="1"/>
  <c r="H20" i="1" s="1"/>
</calcChain>
</file>

<file path=xl/sharedStrings.xml><?xml version="1.0" encoding="utf-8"?>
<sst xmlns="http://schemas.openxmlformats.org/spreadsheetml/2006/main" count="169" uniqueCount="123">
  <si>
    <t>Volumen</t>
  </si>
  <si>
    <t>Materialart</t>
  </si>
  <si>
    <t>Verfahren</t>
  </si>
  <si>
    <t>Druckertyp</t>
  </si>
  <si>
    <t>Farbe</t>
  </si>
  <si>
    <t>Anzahl Testdrucke</t>
  </si>
  <si>
    <t xml:space="preserve">FDM </t>
  </si>
  <si>
    <t>MULTI JET PRINTING</t>
  </si>
  <si>
    <t>PLASTIC JET PRINTING</t>
  </si>
  <si>
    <t>SELECTIVE LASER SINTERING (SLS)</t>
  </si>
  <si>
    <t>STEREOLITOGRAPHIE (HARZ)</t>
  </si>
  <si>
    <t>MICROSTEREOLITOGRPHIE</t>
  </si>
  <si>
    <t>Farben</t>
  </si>
  <si>
    <t>Rot</t>
  </si>
  <si>
    <t>Blau</t>
  </si>
  <si>
    <t>Grün</t>
  </si>
  <si>
    <t>Gelb</t>
  </si>
  <si>
    <t>Grau</t>
  </si>
  <si>
    <t>Weiß</t>
  </si>
  <si>
    <t>Schwarz</t>
  </si>
  <si>
    <t>Material</t>
  </si>
  <si>
    <t>Alumide</t>
  </si>
  <si>
    <t>Edelstahl</t>
  </si>
  <si>
    <t>Titan</t>
  </si>
  <si>
    <t>SLS</t>
  </si>
  <si>
    <t>PA2200</t>
  </si>
  <si>
    <t>Hochaufl. Standardmaterial</t>
  </si>
  <si>
    <t xml:space="preserve">Alu </t>
  </si>
  <si>
    <t>Vero</t>
  </si>
  <si>
    <t>Tango</t>
  </si>
  <si>
    <t>Digitales ABS</t>
  </si>
  <si>
    <t>Durus</t>
  </si>
  <si>
    <t>Polymergips (Sandstein)</t>
  </si>
  <si>
    <t>FDM</t>
  </si>
  <si>
    <t>ABS</t>
  </si>
  <si>
    <t>Onyx</t>
  </si>
  <si>
    <t>Fiberglass</t>
  </si>
  <si>
    <t>HSHT Fiberglass</t>
  </si>
  <si>
    <t>Carbon</t>
  </si>
  <si>
    <t>Kevlar</t>
  </si>
  <si>
    <t>SELECTIVE LASER MELTING (METALL)</t>
  </si>
  <si>
    <t>Kürzel</t>
  </si>
  <si>
    <t>CJP</t>
  </si>
  <si>
    <t>MJP</t>
  </si>
  <si>
    <t>PJP</t>
  </si>
  <si>
    <t>SLM</t>
  </si>
  <si>
    <t>HARZ</t>
  </si>
  <si>
    <t>MS</t>
  </si>
  <si>
    <t>cm3</t>
  </si>
  <si>
    <t>Kosten f. Stützmat.</t>
  </si>
  <si>
    <t>Modell</t>
  </si>
  <si>
    <t>Onyx One</t>
  </si>
  <si>
    <t>Mark Two</t>
  </si>
  <si>
    <t>X7</t>
  </si>
  <si>
    <t>Anschaffungspreis</t>
  </si>
  <si>
    <t>Montage</t>
  </si>
  <si>
    <t>Fracht</t>
  </si>
  <si>
    <t>Wiederbeschaffungswert</t>
  </si>
  <si>
    <t>Afa (6 Jahre)</t>
  </si>
  <si>
    <t>kalk Zinsen</t>
  </si>
  <si>
    <t>Instandhaltung</t>
  </si>
  <si>
    <t>Raumkosten</t>
  </si>
  <si>
    <t>Fixkosten mtl.</t>
  </si>
  <si>
    <t>Maschinenstd Satz</t>
  </si>
  <si>
    <t>Fixkosten / Std</t>
  </si>
  <si>
    <t>Druckkosten</t>
  </si>
  <si>
    <t>Modul Druckprozess</t>
  </si>
  <si>
    <t>Modul Engineering</t>
  </si>
  <si>
    <t>Modul Nachbearbeitung</t>
  </si>
  <si>
    <t>Modul Qualitätsprüfung</t>
  </si>
  <si>
    <t>Mitarbeiter Std Satz</t>
  </si>
  <si>
    <t>Arbeitsplatz Engineering</t>
  </si>
  <si>
    <t>Anschaffungskosten Computer</t>
  </si>
  <si>
    <t>Nutzungsdauer</t>
  </si>
  <si>
    <t>IT</t>
  </si>
  <si>
    <t>Stundensatz</t>
  </si>
  <si>
    <t>Schulung</t>
  </si>
  <si>
    <t>Lizenskosten</t>
  </si>
  <si>
    <t>Kosten Pro Monat</t>
  </si>
  <si>
    <t>Kosten Pro Stunde</t>
  </si>
  <si>
    <t>Geschätzte Entwicklungszeit</t>
  </si>
  <si>
    <t>Stunden</t>
  </si>
  <si>
    <t>Entfernung der Bauplattform</t>
  </si>
  <si>
    <t>Entfernung Stützmaterial</t>
  </si>
  <si>
    <t>Säurebad-Maschine</t>
  </si>
  <si>
    <t>Chemikalien</t>
  </si>
  <si>
    <r>
      <t>Soluble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Concentrate</t>
    </r>
    <r>
      <rPr>
        <sz val="11"/>
        <color theme="1"/>
        <rFont val="Calibri"/>
        <family val="2"/>
        <scheme val="minor"/>
      </rPr>
      <t xml:space="preserve"> P400-SC</t>
    </r>
  </si>
  <si>
    <t>Sichtprüfung</t>
  </si>
  <si>
    <t>CT</t>
  </si>
  <si>
    <t>Qualitätsprüfung</t>
  </si>
  <si>
    <t>Gesamtkosten</t>
  </si>
  <si>
    <t>Preis [€/cm3]</t>
  </si>
  <si>
    <t>Kosten für Modellmaterial</t>
  </si>
  <si>
    <t>Druckzeit</t>
  </si>
  <si>
    <t>Ergebnis</t>
  </si>
  <si>
    <t>Summe Kosten</t>
  </si>
  <si>
    <t>Omegasonics 1900BT Ultrasonic Kosten pro Stunde</t>
  </si>
  <si>
    <t>Nachbearbeitung</t>
  </si>
  <si>
    <t>Benötigte Zeit in Stunden</t>
  </si>
  <si>
    <t>Mitarbeiter Stundensatz</t>
  </si>
  <si>
    <t>Druckkosten pro Stunde</t>
  </si>
  <si>
    <t>Eingabemaske für Benutzer</t>
  </si>
  <si>
    <t>Benutzeroberfläche</t>
  </si>
  <si>
    <t>Visualisierung der Kostenverteilung</t>
  </si>
  <si>
    <t>Einheit</t>
  </si>
  <si>
    <t>Zahlenwert</t>
  </si>
  <si>
    <t>Legende</t>
  </si>
  <si>
    <t>Felder zum auswählen</t>
  </si>
  <si>
    <t>Manuelle Eingabe</t>
  </si>
  <si>
    <t>Benennung</t>
  </si>
  <si>
    <t>Fuse 1</t>
  </si>
  <si>
    <t>var. Kosten (Stromkosten) / Std.</t>
  </si>
  <si>
    <t>EOS P 770</t>
  </si>
  <si>
    <t>-</t>
  </si>
  <si>
    <t>Teil Schleifen</t>
  </si>
  <si>
    <t>Oberflächenbearbeitung</t>
  </si>
  <si>
    <t>Holzmann MSM 75 Metallschleifmaschine</t>
  </si>
  <si>
    <t>COLOUR JET PRINTING</t>
  </si>
  <si>
    <t>SLA</t>
  </si>
  <si>
    <t>ProJet 1200</t>
  </si>
  <si>
    <t>UV / Hitzeofen</t>
  </si>
  <si>
    <t>XYZprinting UV Curing Chamber for SLA 3D Printer</t>
  </si>
  <si>
    <t>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</si>
</sst>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€-2]\ #,##0;[Red]\-[$€-2]\ 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3A6C"/>
      <name val="Wingdings"/>
      <charset val="2"/>
    </font>
    <font>
      <sz val="16"/>
      <color rgb="FF003A6C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rgb="FF0070C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0" tint="-0.1499984740745262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0" fillId="3" borderId="0" xfId="0" applyFill="1" applyBorder="1"/>
    <xf numFmtId="44" fontId="0" fillId="3" borderId="0" xfId="1" applyFont="1" applyFill="1"/>
    <xf numFmtId="0" fontId="8" fillId="3" borderId="0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2" fillId="5" borderId="4" xfId="0" applyFont="1" applyFill="1" applyBorder="1"/>
    <xf numFmtId="0" fontId="12" fillId="5" borderId="0" xfId="0" applyFont="1" applyFill="1" applyBorder="1"/>
    <xf numFmtId="0" fontId="12" fillId="5" borderId="5" xfId="0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0" fontId="16" fillId="5" borderId="0" xfId="0" applyFont="1" applyFill="1" applyBorder="1"/>
    <xf numFmtId="44" fontId="14" fillId="5" borderId="0" xfId="0" applyNumberFormat="1" applyFont="1" applyFill="1" applyBorder="1"/>
    <xf numFmtId="0" fontId="12" fillId="5" borderId="6" xfId="0" applyFont="1" applyFill="1" applyBorder="1"/>
    <xf numFmtId="0" fontId="12" fillId="5" borderId="7" xfId="0" applyFont="1" applyFill="1" applyBorder="1"/>
    <xf numFmtId="0" fontId="12" fillId="5" borderId="8" xfId="0" applyFont="1" applyFill="1" applyBorder="1"/>
    <xf numFmtId="0" fontId="17" fillId="5" borderId="0" xfId="0" applyFont="1" applyFill="1" applyBorder="1" applyAlignment="1">
      <alignment horizontal="right"/>
    </xf>
    <xf numFmtId="0" fontId="17" fillId="5" borderId="0" xfId="0" applyFont="1" applyFill="1" applyBorder="1"/>
    <xf numFmtId="0" fontId="13" fillId="5" borderId="0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12" fillId="6" borderId="0" xfId="0" applyFont="1" applyFill="1" applyBorder="1"/>
    <xf numFmtId="0" fontId="12" fillId="6" borderId="9" xfId="0" applyFont="1" applyFill="1" applyBorder="1"/>
    <xf numFmtId="0" fontId="12" fillId="6" borderId="10" xfId="0" applyFont="1" applyFill="1" applyBorder="1"/>
    <xf numFmtId="0" fontId="12" fillId="6" borderId="11" xfId="0" applyFont="1" applyFill="1" applyBorder="1"/>
    <xf numFmtId="0" fontId="12" fillId="6" borderId="12" xfId="0" applyFont="1" applyFill="1" applyBorder="1"/>
    <xf numFmtId="0" fontId="12" fillId="6" borderId="13" xfId="0" applyFont="1" applyFill="1" applyBorder="1"/>
    <xf numFmtId="0" fontId="12" fillId="6" borderId="14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right"/>
    </xf>
    <xf numFmtId="0" fontId="17" fillId="6" borderId="0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right" vertical="center"/>
    </xf>
    <xf numFmtId="0" fontId="18" fillId="6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right" vertical="center"/>
    </xf>
    <xf numFmtId="0" fontId="17" fillId="8" borderId="0" xfId="0" applyFont="1" applyFill="1" applyBorder="1"/>
    <xf numFmtId="44" fontId="17" fillId="8" borderId="0" xfId="0" applyNumberFormat="1" applyFont="1" applyFill="1" applyBorder="1"/>
    <xf numFmtId="0" fontId="19" fillId="4" borderId="0" xfId="0" applyFont="1" applyFill="1" applyBorder="1"/>
    <xf numFmtId="0" fontId="20" fillId="8" borderId="17" xfId="0" applyFont="1" applyFill="1" applyBorder="1"/>
    <xf numFmtId="44" fontId="20" fillId="8" borderId="17" xfId="0" applyNumberFormat="1" applyFont="1" applyFill="1" applyBorder="1"/>
    <xf numFmtId="0" fontId="14" fillId="5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top" readingOrder="1"/>
    </xf>
    <xf numFmtId="44" fontId="0" fillId="3" borderId="0" xfId="0" applyNumberFormat="1" applyFill="1"/>
    <xf numFmtId="0" fontId="4" fillId="3" borderId="0" xfId="0" applyFont="1" applyFill="1" applyAlignment="1">
      <alignment horizontal="left" vertical="center" indent="7" readingOrder="1"/>
    </xf>
    <xf numFmtId="0" fontId="5" fillId="3" borderId="0" xfId="0" applyFont="1" applyFill="1" applyAlignment="1">
      <alignment horizontal="left" vertical="center" indent="9" readingOrder="1"/>
    </xf>
    <xf numFmtId="0" fontId="7" fillId="5" borderId="18" xfId="0" applyFont="1" applyFill="1" applyBorder="1"/>
    <xf numFmtId="0" fontId="0" fillId="5" borderId="18" xfId="0" applyFill="1" applyBorder="1"/>
    <xf numFmtId="0" fontId="6" fillId="5" borderId="18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right"/>
    </xf>
    <xf numFmtId="0" fontId="2" fillId="5" borderId="18" xfId="0" applyFont="1" applyFill="1" applyBorder="1"/>
    <xf numFmtId="44" fontId="0" fillId="5" borderId="18" xfId="1" applyFont="1" applyFill="1" applyBorder="1"/>
    <xf numFmtId="44" fontId="0" fillId="5" borderId="18" xfId="0" applyNumberFormat="1" applyFill="1" applyBorder="1"/>
    <xf numFmtId="0" fontId="6" fillId="5" borderId="18" xfId="0" applyFont="1" applyFill="1" applyBorder="1"/>
    <xf numFmtId="44" fontId="6" fillId="5" borderId="18" xfId="1" applyFont="1" applyFill="1" applyBorder="1"/>
    <xf numFmtId="0" fontId="6" fillId="10" borderId="18" xfId="0" applyFont="1" applyFill="1" applyBorder="1"/>
    <xf numFmtId="0" fontId="6" fillId="8" borderId="18" xfId="0" applyFont="1" applyFill="1" applyBorder="1"/>
    <xf numFmtId="0" fontId="6" fillId="9" borderId="18" xfId="0" applyFont="1" applyFill="1" applyBorder="1"/>
    <xf numFmtId="0" fontId="6" fillId="2" borderId="18" xfId="0" applyFont="1" applyFill="1" applyBorder="1"/>
    <xf numFmtId="0" fontId="3" fillId="5" borderId="18" xfId="0" applyFont="1" applyFill="1" applyBorder="1"/>
    <xf numFmtId="2" fontId="0" fillId="5" borderId="18" xfId="0" applyNumberFormat="1" applyFill="1" applyBorder="1"/>
    <xf numFmtId="0" fontId="3" fillId="5" borderId="18" xfId="0" applyFont="1" applyFill="1" applyBorder="1" applyAlignment="1">
      <alignment horizontal="left" vertical="top" readingOrder="1"/>
    </xf>
    <xf numFmtId="0" fontId="7" fillId="5" borderId="18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 vertical="center"/>
    </xf>
    <xf numFmtId="164" fontId="0" fillId="5" borderId="18" xfId="0" applyNumberFormat="1" applyFill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9D-4717-9915-E030AB0F49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9D-4717-9915-E030AB0F49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F9D-4717-9915-E030AB0F49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F9D-4717-9915-E030AB0F49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Engineering</c:v>
              </c:pt>
              <c:pt idx="1">
                <c:v>Druckprozess</c:v>
              </c:pt>
              <c:pt idx="2">
                <c:v>Nachbearbeitung</c:v>
              </c:pt>
              <c:pt idx="3">
                <c:v>Qualitätsprüfung</c:v>
              </c:pt>
            </c:strLit>
          </c:cat>
          <c:val>
            <c:numRef>
              <c:f>(Eingabeblatt!$H$11,Eingabeblatt!$H$13,Eingabeblatt!$H$15,Eingabeblatt!$H$17)</c:f>
              <c:numCache>
                <c:formatCode>_("€"* #,##0.00_);_("€"* \(#,##0.00\);_("€"* "-"??_);_(@_)</c:formatCode>
                <c:ptCount val="4"/>
                <c:pt idx="0">
                  <c:v>36.229687499999997</c:v>
                </c:pt>
                <c:pt idx="1">
                  <c:v>11.293785185185186</c:v>
                </c:pt>
                <c:pt idx="2">
                  <c:v>2.5552642264660497</c:v>
                </c:pt>
                <c:pt idx="3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9D-4717-9915-E030AB0F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09354537776879E-3"/>
          <c:y val="0.81010540515290153"/>
          <c:w val="0.98423119970346673"/>
          <c:h val="0.16342956255246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11</xdr:row>
      <xdr:rowOff>177575</xdr:rowOff>
    </xdr:from>
    <xdr:to>
      <xdr:col>13</xdr:col>
      <xdr:colOff>1592036</xdr:colOff>
      <xdr:row>22</xdr:row>
      <xdr:rowOff>136072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285750</xdr:colOff>
      <xdr:row>1</xdr:row>
      <xdr:rowOff>95250</xdr:rowOff>
    </xdr:from>
    <xdr:to>
      <xdr:col>14</xdr:col>
      <xdr:colOff>59376</xdr:colOff>
      <xdr:row>3</xdr:row>
      <xdr:rowOff>787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A6E95F7-BDAF-4B97-95DC-1E17437D8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5857" y="285750"/>
          <a:ext cx="3066554" cy="286537"/>
        </a:xfrm>
        <a:prstGeom prst="rect">
          <a:avLst/>
        </a:prstGeom>
      </xdr:spPr>
    </xdr:pic>
    <xdr:clientData/>
  </xdr:twoCellAnchor>
  <xdr:twoCellAnchor>
    <xdr:from>
      <xdr:col>1</xdr:col>
      <xdr:colOff>369793</xdr:colOff>
      <xdr:row>31</xdr:row>
      <xdr:rowOff>11206</xdr:rowOff>
    </xdr:from>
    <xdr:to>
      <xdr:col>2</xdr:col>
      <xdr:colOff>708793</xdr:colOff>
      <xdr:row>32</xdr:row>
      <xdr:rowOff>706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D4417B8F-E0D8-4298-A2FA-85CDEA0D5A12}"/>
            </a:ext>
          </a:extLst>
        </xdr:cNvPr>
        <xdr:cNvSpPr/>
      </xdr:nvSpPr>
      <xdr:spPr>
        <a:xfrm>
          <a:off x="649940" y="6432177"/>
          <a:ext cx="720000" cy="180000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365312</xdr:colOff>
      <xdr:row>32</xdr:row>
      <xdr:rowOff>163606</xdr:rowOff>
    </xdr:from>
    <xdr:to>
      <xdr:col>2</xdr:col>
      <xdr:colOff>704312</xdr:colOff>
      <xdr:row>33</xdr:row>
      <xdr:rowOff>153106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5506153E-C14D-43C8-BF5D-3277994B8FAD}"/>
            </a:ext>
          </a:extLst>
        </xdr:cNvPr>
        <xdr:cNvSpPr/>
      </xdr:nvSpPr>
      <xdr:spPr>
        <a:xfrm>
          <a:off x="645459" y="6775077"/>
          <a:ext cx="720000" cy="1800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76200</xdr:rowOff>
    </xdr:from>
    <xdr:to>
      <xdr:col>4</xdr:col>
      <xdr:colOff>304800</xdr:colOff>
      <xdr:row>4</xdr:row>
      <xdr:rowOff>161925</xdr:rowOff>
    </xdr:to>
    <xdr:sp macro="" textlink="">
      <xdr:nvSpPr>
        <xdr:cNvPr id="4196" name="AutoShape 100" descr="Gold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962150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85725</xdr:rowOff>
    </xdr:to>
    <xdr:sp macro="" textlink="">
      <xdr:nvSpPr>
        <xdr:cNvPr id="4222" name="AutoShape 126" descr="Gold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91452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95250</xdr:colOff>
      <xdr:row>13</xdr:row>
      <xdr:rowOff>95250</xdr:rowOff>
    </xdr:to>
    <xdr:pic>
      <xdr:nvPicPr>
        <xdr:cNvPr id="137" name="Grafik 136" descr="Klar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4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Normal="100" workbookViewId="0">
      <selection activeCell="H40" sqref="G40:H40"/>
    </sheetView>
  </sheetViews>
  <sheetFormatPr baseColWidth="10" defaultRowHeight="15" x14ac:dyDescent="0.25"/>
  <cols>
    <col min="1" max="1" width="4.140625" style="1" customWidth="1"/>
    <col min="2" max="2" width="5.7109375" style="1" customWidth="1"/>
    <col min="3" max="3" width="34.5703125" style="1" bestFit="1" customWidth="1"/>
    <col min="4" max="4" width="42.42578125" style="1" bestFit="1" customWidth="1"/>
    <col min="5" max="5" width="10" style="1" bestFit="1" customWidth="1"/>
    <col min="6" max="6" width="11.42578125" style="1"/>
    <col min="7" max="7" width="25.140625" style="1" bestFit="1" customWidth="1"/>
    <col min="8" max="8" width="15.28515625" style="1" bestFit="1" customWidth="1"/>
    <col min="9" max="9" width="7.140625" style="1" customWidth="1"/>
    <col min="10" max="10" width="6.7109375" style="1" customWidth="1"/>
    <col min="11" max="11" width="10.140625" style="1" customWidth="1"/>
    <col min="12" max="12" width="22.28515625" style="1" customWidth="1"/>
    <col min="13" max="14" width="24.7109375" style="1" customWidth="1"/>
    <col min="15" max="15" width="5.7109375" style="1" customWidth="1"/>
    <col min="16" max="16384" width="11.42578125" style="1"/>
  </cols>
  <sheetData>
    <row r="1" spans="1:26" customFormat="1" ht="15" customHeight="1" thickBot="1" x14ac:dyDescent="0.3">
      <c r="A1" s="1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Format="1" ht="15" customHeight="1" x14ac:dyDescent="0.25">
      <c r="A2" s="1"/>
      <c r="B2" s="74" t="s">
        <v>102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Format="1" ht="15" customHeight="1" x14ac:dyDescent="0.25">
      <c r="A3" s="1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Format="1" ht="15" customHeight="1" x14ac:dyDescent="0.25">
      <c r="A4" s="1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customFormat="1" ht="15" customHeight="1" x14ac:dyDescent="0.25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x14ac:dyDescent="0.35">
      <c r="B6" s="5"/>
      <c r="C6" s="73" t="s">
        <v>101</v>
      </c>
      <c r="D6" s="73"/>
      <c r="E6" s="73"/>
      <c r="F6" s="6"/>
      <c r="G6" s="72" t="s">
        <v>94</v>
      </c>
      <c r="H6" s="72"/>
      <c r="I6" s="6"/>
      <c r="J6" s="6"/>
      <c r="K6" s="73" t="s">
        <v>103</v>
      </c>
      <c r="L6" s="73"/>
      <c r="M6" s="73"/>
      <c r="N6" s="73"/>
      <c r="O6" s="7"/>
    </row>
    <row r="7" spans="1:26" customFormat="1" ht="23.25" x14ac:dyDescent="0.35">
      <c r="A7" s="1"/>
      <c r="B7" s="8"/>
      <c r="C7" s="73"/>
      <c r="D7" s="73"/>
      <c r="E7" s="73"/>
      <c r="F7" s="31"/>
      <c r="G7" s="72"/>
      <c r="H7" s="72"/>
      <c r="I7" s="9"/>
      <c r="J7" s="20"/>
      <c r="K7" s="73"/>
      <c r="L7" s="73"/>
      <c r="M7" s="73"/>
      <c r="N7" s="73"/>
      <c r="O7" s="2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customFormat="1" ht="15.75" x14ac:dyDescent="0.25">
      <c r="A8" s="1"/>
      <c r="B8" s="8"/>
      <c r="C8" s="45" t="s">
        <v>109</v>
      </c>
      <c r="D8" s="32" t="s">
        <v>105</v>
      </c>
      <c r="E8" s="32" t="s">
        <v>104</v>
      </c>
      <c r="F8" s="31"/>
      <c r="G8" s="11"/>
      <c r="H8" s="9"/>
      <c r="I8" s="9"/>
      <c r="J8" s="9"/>
      <c r="K8" s="23"/>
      <c r="L8" s="24"/>
      <c r="M8" s="24"/>
      <c r="N8" s="25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customFormat="1" ht="15.75" x14ac:dyDescent="0.25">
      <c r="A9" s="1"/>
      <c r="B9" s="8"/>
      <c r="C9" s="42" t="s">
        <v>80</v>
      </c>
      <c r="D9" s="33">
        <v>0.5</v>
      </c>
      <c r="E9" s="34" t="s">
        <v>81</v>
      </c>
      <c r="F9" s="9"/>
      <c r="G9" s="11"/>
      <c r="H9" s="9"/>
      <c r="I9" s="9"/>
      <c r="J9" s="9"/>
      <c r="K9" s="26"/>
      <c r="L9" s="22"/>
      <c r="M9" s="22"/>
      <c r="N9" s="27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customFormat="1" ht="15.75" x14ac:dyDescent="0.25">
      <c r="A10" s="1"/>
      <c r="B10" s="8"/>
      <c r="C10" s="11"/>
      <c r="D10" s="18"/>
      <c r="E10" s="35"/>
      <c r="F10" s="9"/>
      <c r="G10" s="9"/>
      <c r="H10" s="9"/>
      <c r="I10" s="9"/>
      <c r="J10" s="9"/>
      <c r="K10" s="26"/>
      <c r="L10" s="22"/>
      <c r="M10" s="22"/>
      <c r="N10" s="27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customFormat="1" ht="15.75" x14ac:dyDescent="0.25">
      <c r="A11" s="1"/>
      <c r="B11" s="8"/>
      <c r="C11" s="42" t="s">
        <v>0</v>
      </c>
      <c r="D11" s="33">
        <v>10.14</v>
      </c>
      <c r="E11" s="34" t="s">
        <v>48</v>
      </c>
      <c r="F11" s="9"/>
      <c r="G11" s="40" t="s">
        <v>67</v>
      </c>
      <c r="H11" s="41">
        <f>D9*'Modul Engineering'!I4</f>
        <v>36.229687499999997</v>
      </c>
      <c r="I11" s="9"/>
      <c r="J11" s="9"/>
      <c r="K11" s="26"/>
      <c r="L11" s="22"/>
      <c r="M11" s="22"/>
      <c r="N11" s="27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customFormat="1" ht="15.75" x14ac:dyDescent="0.25">
      <c r="A12" s="1"/>
      <c r="B12" s="8"/>
      <c r="C12" s="11"/>
      <c r="D12" s="18"/>
      <c r="E12" s="35"/>
      <c r="F12" s="9"/>
      <c r="G12" s="19"/>
      <c r="H12" s="19"/>
      <c r="I12" s="9"/>
      <c r="J12" s="9"/>
      <c r="K12" s="26"/>
      <c r="L12" s="22"/>
      <c r="M12" s="22"/>
      <c r="N12" s="27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customFormat="1" ht="15.75" x14ac:dyDescent="0.25">
      <c r="A13" s="1"/>
      <c r="B13" s="8"/>
      <c r="C13" s="42" t="str">
        <f>IF(D15="FDM","Stützmaterial",IF(D15="SELECTIVE LASER SINTERING (SLS)","Überschüssiges Granulat",IF(D15="STEREOLITOGRAPHIE (HARZ)","Überschüssiges Harz","nA")))</f>
        <v>Stützmaterial</v>
      </c>
      <c r="D13" s="33">
        <v>6.99</v>
      </c>
      <c r="E13" s="34" t="s">
        <v>48</v>
      </c>
      <c r="F13" s="9"/>
      <c r="G13" s="40" t="s">
        <v>66</v>
      </c>
      <c r="H13" s="41">
        <f>(((VLOOKUP(Eingabeblatt!D21,Drucker!C3:R10,15,FALSE))*Druckzeit)+Materialkosten!G2+Materialkosten!G4)*(1+Testdrucke)</f>
        <v>11.293785185185186</v>
      </c>
      <c r="I13" s="9"/>
      <c r="J13" s="9"/>
      <c r="K13" s="26"/>
      <c r="L13" s="22"/>
      <c r="M13" s="22"/>
      <c r="N13" s="27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customFormat="1" ht="15.75" x14ac:dyDescent="0.25">
      <c r="A14" s="1"/>
      <c r="B14" s="8"/>
      <c r="C14" s="11"/>
      <c r="D14" s="18"/>
      <c r="E14" s="35"/>
      <c r="F14" s="9"/>
      <c r="G14" s="19"/>
      <c r="H14" s="19"/>
      <c r="I14" s="9"/>
      <c r="J14" s="9"/>
      <c r="K14" s="26"/>
      <c r="L14" s="22"/>
      <c r="M14" s="22"/>
      <c r="N14" s="27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customFormat="1" ht="15.75" x14ac:dyDescent="0.25">
      <c r="A15" s="1"/>
      <c r="B15" s="8"/>
      <c r="C15" s="42" t="s">
        <v>2</v>
      </c>
      <c r="D15" s="37" t="s">
        <v>33</v>
      </c>
      <c r="E15" s="36" t="str">
        <f>IF(D15=Steuerblatt!B3,Steuerblatt!D3,IF(D15=Steuerblatt!B4,Steuerblatt!D4,IF(D15=Steuerblatt!B5,Steuerblatt!D5,IF(D15=Steuerblatt!B6,Steuerblatt!D6,IF(D15=Steuerblatt!B7,Steuerblatt!D7,IF(D15=Steuerblatt!B8,Steuerblatt!D8,IF(D15=Steuerblatt!B9,Steuerblatt!D9,IF(D15=Steuerblatt!B10,Steuerblatt!D10,""))))))))</f>
        <v>FDM</v>
      </c>
      <c r="F15" s="9"/>
      <c r="G15" s="40" t="s">
        <v>68</v>
      </c>
      <c r="H15" s="41">
        <f>VLOOKUP(D15,'Modul Nachbearbeitung'!B4:G8,6,FALSE)</f>
        <v>2.5552642264660497</v>
      </c>
      <c r="I15" s="9"/>
      <c r="J15" s="9"/>
      <c r="K15" s="26"/>
      <c r="L15" s="22"/>
      <c r="M15" s="22"/>
      <c r="N15" s="27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customFormat="1" ht="15.75" x14ac:dyDescent="0.25">
      <c r="A16" s="1"/>
      <c r="B16" s="8"/>
      <c r="C16" s="11"/>
      <c r="D16" s="18"/>
      <c r="E16" s="35"/>
      <c r="F16" s="9"/>
      <c r="G16" s="19"/>
      <c r="H16" s="19"/>
      <c r="I16" s="9"/>
      <c r="J16" s="9"/>
      <c r="K16" s="26"/>
      <c r="L16" s="22"/>
      <c r="M16" s="22"/>
      <c r="N16" s="27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customFormat="1" ht="15.75" x14ac:dyDescent="0.25">
      <c r="A17" s="1"/>
      <c r="B17" s="8"/>
      <c r="C17" s="42" t="s">
        <v>1</v>
      </c>
      <c r="D17" s="37" t="s">
        <v>34</v>
      </c>
      <c r="E17" s="34"/>
      <c r="F17" s="9"/>
      <c r="G17" s="40" t="s">
        <v>69</v>
      </c>
      <c r="H17" s="41">
        <f>VLOOKUP(D27,'Modul Qualitätsprüfung'!B4:E5,4,FALSE)</f>
        <v>4.9000000000000004</v>
      </c>
      <c r="I17" s="9"/>
      <c r="J17" s="9"/>
      <c r="K17" s="26"/>
      <c r="L17" s="22"/>
      <c r="M17" s="22"/>
      <c r="N17" s="27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customFormat="1" ht="15.75" x14ac:dyDescent="0.25">
      <c r="A18" s="1"/>
      <c r="B18" s="8"/>
      <c r="C18" s="11"/>
      <c r="D18" s="18"/>
      <c r="E18" s="35"/>
      <c r="F18" s="9"/>
      <c r="G18" s="9"/>
      <c r="H18" s="9"/>
      <c r="I18" s="9"/>
      <c r="J18" s="9"/>
      <c r="K18" s="26"/>
      <c r="L18" s="22"/>
      <c r="M18" s="22"/>
      <c r="N18" s="27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customFormat="1" ht="15.75" x14ac:dyDescent="0.25">
      <c r="A19" s="1"/>
      <c r="B19" s="8"/>
      <c r="C19" s="42" t="s">
        <v>93</v>
      </c>
      <c r="D19" s="33">
        <v>2</v>
      </c>
      <c r="E19" s="34" t="s">
        <v>81</v>
      </c>
      <c r="F19" s="9"/>
      <c r="G19" s="9"/>
      <c r="H19" s="9"/>
      <c r="I19" s="9"/>
      <c r="J19" s="9"/>
      <c r="K19" s="26"/>
      <c r="L19" s="22"/>
      <c r="M19" s="22"/>
      <c r="N19" s="27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customFormat="1" ht="21" thickBot="1" x14ac:dyDescent="0.35">
      <c r="A20" s="1"/>
      <c r="B20" s="8"/>
      <c r="C20" s="11"/>
      <c r="D20" s="18"/>
      <c r="E20" s="35"/>
      <c r="F20" s="9"/>
      <c r="G20" s="43" t="s">
        <v>90</v>
      </c>
      <c r="H20" s="44">
        <f>SUM(H11:H18)</f>
        <v>54.978736911651232</v>
      </c>
      <c r="I20" s="9"/>
      <c r="J20" s="9"/>
      <c r="K20" s="26"/>
      <c r="L20" s="22"/>
      <c r="M20" s="22"/>
      <c r="N20" s="27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 ht="16.5" thickTop="1" x14ac:dyDescent="0.25">
      <c r="A21" s="1"/>
      <c r="B21" s="8"/>
      <c r="C21" s="42" t="s">
        <v>3</v>
      </c>
      <c r="D21" s="37" t="s">
        <v>51</v>
      </c>
      <c r="E21" s="34"/>
      <c r="F21" s="9"/>
      <c r="G21" s="9"/>
      <c r="H21" s="9"/>
      <c r="I21" s="9"/>
      <c r="J21" s="9"/>
      <c r="K21" s="26"/>
      <c r="L21" s="22"/>
      <c r="M21" s="22"/>
      <c r="N21" s="27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ht="15.75" x14ac:dyDescent="0.25">
      <c r="A22" s="1"/>
      <c r="B22" s="8"/>
      <c r="C22" s="11"/>
      <c r="D22" s="18"/>
      <c r="E22" s="35"/>
      <c r="F22" s="9"/>
      <c r="G22" s="9"/>
      <c r="H22" s="9"/>
      <c r="I22" s="9"/>
      <c r="J22" s="9"/>
      <c r="K22" s="26"/>
      <c r="L22" s="22"/>
      <c r="M22" s="22"/>
      <c r="N22" s="27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customFormat="1" ht="15.75" x14ac:dyDescent="0.25">
      <c r="A23" s="1"/>
      <c r="B23" s="8"/>
      <c r="C23" s="42" t="s">
        <v>4</v>
      </c>
      <c r="D23" s="37" t="s">
        <v>14</v>
      </c>
      <c r="E23" s="34"/>
      <c r="F23" s="9"/>
      <c r="G23" s="9"/>
      <c r="H23" s="9"/>
      <c r="I23" s="9"/>
      <c r="J23" s="9"/>
      <c r="K23" s="26"/>
      <c r="L23" s="22"/>
      <c r="M23" s="22"/>
      <c r="N23" s="27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customFormat="1" ht="15.75" x14ac:dyDescent="0.25">
      <c r="A24" s="1"/>
      <c r="B24" s="8"/>
      <c r="C24" s="11"/>
      <c r="D24" s="18"/>
      <c r="E24" s="35"/>
      <c r="F24" s="9"/>
      <c r="G24" s="9"/>
      <c r="H24" s="9"/>
      <c r="I24" s="9"/>
      <c r="J24" s="9"/>
      <c r="K24" s="26"/>
      <c r="L24" s="22"/>
      <c r="M24" s="22"/>
      <c r="N24" s="27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customFormat="1" ht="15.75" x14ac:dyDescent="0.25">
      <c r="A25" s="1"/>
      <c r="B25" s="8"/>
      <c r="C25" s="42" t="s">
        <v>5</v>
      </c>
      <c r="D25" s="33">
        <v>0</v>
      </c>
      <c r="E25" s="34"/>
      <c r="F25" s="9"/>
      <c r="G25" s="9"/>
      <c r="H25" s="9"/>
      <c r="I25" s="9"/>
      <c r="J25" s="9"/>
      <c r="K25" s="26"/>
      <c r="L25" s="22"/>
      <c r="M25" s="22"/>
      <c r="N25" s="27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customFormat="1" ht="15.75" x14ac:dyDescent="0.25">
      <c r="A26" s="1"/>
      <c r="B26" s="8"/>
      <c r="C26" s="11"/>
      <c r="D26" s="18"/>
      <c r="E26" s="35"/>
      <c r="F26" s="9"/>
      <c r="G26" s="9"/>
      <c r="H26" s="9"/>
      <c r="I26" s="9"/>
      <c r="J26" s="9"/>
      <c r="K26" s="26"/>
      <c r="L26" s="22"/>
      <c r="M26" s="22"/>
      <c r="N26" s="27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ht="18" x14ac:dyDescent="0.25">
      <c r="A27" s="1"/>
      <c r="B27" s="8"/>
      <c r="C27" s="42" t="s">
        <v>89</v>
      </c>
      <c r="D27" s="37" t="s">
        <v>87</v>
      </c>
      <c r="E27" s="34"/>
      <c r="F27" s="9"/>
      <c r="G27" s="13"/>
      <c r="H27" s="14"/>
      <c r="I27" s="9"/>
      <c r="J27" s="9"/>
      <c r="K27" s="28"/>
      <c r="L27" s="29"/>
      <c r="M27" s="29"/>
      <c r="N27" s="3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26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26" ht="15.75" x14ac:dyDescent="0.25">
      <c r="B30" s="8"/>
      <c r="C30" s="12" t="s">
        <v>106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26" x14ac:dyDescent="0.2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26" x14ac:dyDescent="0.25">
      <c r="B32" s="8"/>
      <c r="C32" s="39" t="s">
        <v>107</v>
      </c>
      <c r="D32" s="38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2:15" x14ac:dyDescent="0.25">
      <c r="B33" s="8"/>
      <c r="C33" s="39"/>
      <c r="D33" s="38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2:15" x14ac:dyDescent="0.25">
      <c r="B34" s="8"/>
      <c r="C34" s="39" t="s">
        <v>108</v>
      </c>
      <c r="D34" s="38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2:15" ht="15.75" thickBot="1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2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7">
    <mergeCell ref="G6:H6"/>
    <mergeCell ref="K6:N6"/>
    <mergeCell ref="C7:E7"/>
    <mergeCell ref="B2:O4"/>
    <mergeCell ref="C6:E6"/>
    <mergeCell ref="K7:N7"/>
    <mergeCell ref="G7:H7"/>
  </mergeCells>
  <dataValidations count="4">
    <dataValidation type="list" allowBlank="1" showInputMessage="1" showErrorMessage="1" sqref="D15">
      <formula1>IMP_Verfahren</formula1>
    </dataValidation>
    <dataValidation type="list" allowBlank="1" showInputMessage="1" showErrorMessage="1" sqref="D23">
      <formula1>IMP_Farbe</formula1>
    </dataValidation>
    <dataValidation type="list" allowBlank="1" showInputMessage="1" showErrorMessage="1" sqref="D17">
      <formula1>IF(E15="SLS",M_SLS, IF(E15="HARZ",M_HARZ,IF(E15="SLM",M_SLM,IF(E15="MJP",M_Multijet,IF(E15="CJP",M_Colorjet,IF(E15="FDM",M_FDM,IF(E15="PJP",M_PJP,IF(E15="MS",M_MS,""))))))))</formula1>
    </dataValidation>
    <dataValidation type="list" allowBlank="1" showInputMessage="1" showErrorMessage="1" sqref="D27">
      <formula1>Quaität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IF(D15="FDM",Drucker!$C$3:$C$5,IF(D15="SELECTIVE LASER SINTERING (SLS)",Drucker!$C$6:$C$7,IF(D15="STEREOLITOGRAPHIE (HARZ)",Drucker!$C$8:$C$8,Drucker!$C$9:$C$20)))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F29" sqref="F29"/>
    </sheetView>
  </sheetViews>
  <sheetFormatPr baseColWidth="10" defaultRowHeight="15" x14ac:dyDescent="0.25"/>
  <cols>
    <col min="1" max="1" width="5.7109375" style="1" customWidth="1"/>
    <col min="2" max="2" width="44" style="1" bestFit="1" customWidth="1"/>
    <col min="3" max="3" width="25.42578125" style="1" bestFit="1" customWidth="1"/>
    <col min="4" max="4" width="13.85546875" style="1" bestFit="1" customWidth="1"/>
    <col min="5" max="5" width="11.42578125" style="1"/>
    <col min="6" max="6" width="24.5703125" style="1" bestFit="1" customWidth="1"/>
    <col min="7" max="16384" width="11.42578125" style="1"/>
  </cols>
  <sheetData>
    <row r="2" spans="2:7" ht="17.25" customHeight="1" x14ac:dyDescent="0.25">
      <c r="B2" s="59" t="s">
        <v>2</v>
      </c>
      <c r="C2" s="59" t="s">
        <v>20</v>
      </c>
      <c r="D2" s="59" t="s">
        <v>91</v>
      </c>
      <c r="F2" s="53" t="s">
        <v>92</v>
      </c>
      <c r="G2" s="57">
        <f>Volumen*VLOOKUP(Eingabeblatt!D17, Materialkosten!C3:D26,2,FALSE)</f>
        <v>2.2308000000000003</v>
      </c>
    </row>
    <row r="3" spans="2:7" ht="17.25" customHeight="1" x14ac:dyDescent="0.25">
      <c r="B3" s="65" t="s">
        <v>9</v>
      </c>
      <c r="C3" s="53" t="s">
        <v>25</v>
      </c>
      <c r="D3" s="66">
        <v>0.2</v>
      </c>
      <c r="F3" s="53"/>
      <c r="G3" s="53"/>
    </row>
    <row r="4" spans="2:7" ht="17.25" customHeight="1" x14ac:dyDescent="0.25">
      <c r="B4" s="65"/>
      <c r="C4" s="53" t="s">
        <v>21</v>
      </c>
      <c r="D4" s="66">
        <v>1.25</v>
      </c>
      <c r="F4" s="53" t="s">
        <v>49</v>
      </c>
      <c r="G4" s="57">
        <f>Stützmaterial*VLOOKUP(Eingabeblatt!D17, Materialkosten!C3:D26,2,FALSE)</f>
        <v>1.5378000000000001</v>
      </c>
    </row>
    <row r="5" spans="2:7" ht="17.25" customHeight="1" x14ac:dyDescent="0.25">
      <c r="B5" s="65" t="s">
        <v>10</v>
      </c>
      <c r="C5" s="53" t="s">
        <v>26</v>
      </c>
      <c r="D5" s="66">
        <v>2</v>
      </c>
      <c r="F5" s="53"/>
      <c r="G5" s="53"/>
    </row>
    <row r="6" spans="2:7" ht="17.25" customHeight="1" x14ac:dyDescent="0.25">
      <c r="B6" s="65" t="s">
        <v>40</v>
      </c>
      <c r="C6" s="53" t="s">
        <v>27</v>
      </c>
      <c r="D6" s="66">
        <v>10.5</v>
      </c>
      <c r="F6" s="53"/>
      <c r="G6" s="57"/>
    </row>
    <row r="7" spans="2:7" ht="17.25" customHeight="1" x14ac:dyDescent="0.25">
      <c r="B7" s="53"/>
      <c r="C7" s="53" t="s">
        <v>22</v>
      </c>
      <c r="D7" s="66">
        <v>90</v>
      </c>
    </row>
    <row r="8" spans="2:7" ht="17.25" customHeight="1" x14ac:dyDescent="0.25">
      <c r="B8" s="53"/>
      <c r="C8" s="53" t="s">
        <v>23</v>
      </c>
      <c r="D8" s="66">
        <v>129.75</v>
      </c>
    </row>
    <row r="9" spans="2:7" ht="17.25" customHeight="1" x14ac:dyDescent="0.25">
      <c r="B9" s="65" t="s">
        <v>7</v>
      </c>
      <c r="C9" s="53" t="s">
        <v>28</v>
      </c>
      <c r="D9" s="66">
        <v>1.37</v>
      </c>
    </row>
    <row r="10" spans="2:7" ht="17.25" customHeight="1" x14ac:dyDescent="0.25">
      <c r="B10" s="53"/>
      <c r="C10" s="53" t="s">
        <v>29</v>
      </c>
      <c r="D10" s="66">
        <v>2</v>
      </c>
    </row>
    <row r="11" spans="2:7" ht="17.25" customHeight="1" x14ac:dyDescent="0.25">
      <c r="B11" s="53"/>
      <c r="C11" s="53" t="s">
        <v>30</v>
      </c>
      <c r="D11" s="66">
        <v>0.67</v>
      </c>
    </row>
    <row r="12" spans="2:7" ht="17.25" customHeight="1" x14ac:dyDescent="0.25">
      <c r="B12" s="53"/>
      <c r="C12" s="53" t="s">
        <v>31</v>
      </c>
      <c r="D12" s="66">
        <v>1.17</v>
      </c>
    </row>
    <row r="13" spans="2:7" ht="17.25" customHeight="1" x14ac:dyDescent="0.25">
      <c r="B13" s="65" t="s">
        <v>117</v>
      </c>
      <c r="C13" s="53" t="s">
        <v>32</v>
      </c>
      <c r="D13" s="66">
        <v>0.8</v>
      </c>
    </row>
    <row r="14" spans="2:7" ht="17.25" customHeight="1" x14ac:dyDescent="0.25">
      <c r="B14" s="65" t="s">
        <v>6</v>
      </c>
      <c r="C14" s="53" t="s">
        <v>34</v>
      </c>
      <c r="D14" s="66">
        <v>0.22</v>
      </c>
    </row>
    <row r="15" spans="2:7" ht="17.25" customHeight="1" x14ac:dyDescent="0.25">
      <c r="B15" s="53"/>
      <c r="C15" s="53" t="s">
        <v>35</v>
      </c>
      <c r="D15" s="66">
        <v>0.28999999999999998</v>
      </c>
    </row>
    <row r="16" spans="2:7" ht="17.25" customHeight="1" x14ac:dyDescent="0.25">
      <c r="B16" s="53"/>
      <c r="C16" s="53" t="s">
        <v>36</v>
      </c>
      <c r="D16" s="66">
        <v>1.67</v>
      </c>
    </row>
    <row r="17" spans="2:4" ht="17.25" customHeight="1" x14ac:dyDescent="0.25">
      <c r="B17" s="53"/>
      <c r="C17" s="53" t="s">
        <v>37</v>
      </c>
      <c r="D17" s="66">
        <v>2.2000000000000002</v>
      </c>
    </row>
    <row r="18" spans="2:4" ht="17.25" customHeight="1" x14ac:dyDescent="0.25">
      <c r="B18" s="53"/>
      <c r="C18" s="53" t="s">
        <v>38</v>
      </c>
      <c r="D18" s="66">
        <v>3.3</v>
      </c>
    </row>
    <row r="19" spans="2:4" ht="17.25" customHeight="1" x14ac:dyDescent="0.25">
      <c r="B19" s="53"/>
      <c r="C19" s="53" t="s">
        <v>39</v>
      </c>
      <c r="D19" s="66">
        <v>2.2000000000000002</v>
      </c>
    </row>
    <row r="20" spans="2:4" ht="17.25" customHeight="1" x14ac:dyDescent="0.25">
      <c r="B20" s="67" t="s">
        <v>8</v>
      </c>
      <c r="C20" s="53" t="s">
        <v>34</v>
      </c>
      <c r="D20" s="66">
        <v>0.22</v>
      </c>
    </row>
    <row r="21" spans="2:4" ht="17.25" customHeight="1" x14ac:dyDescent="0.25">
      <c r="B21" s="53"/>
      <c r="C21" s="53" t="s">
        <v>35</v>
      </c>
      <c r="D21" s="66">
        <v>0.28999999999999998</v>
      </c>
    </row>
    <row r="22" spans="2:4" ht="17.25" customHeight="1" x14ac:dyDescent="0.25">
      <c r="B22" s="53"/>
      <c r="C22" s="53" t="s">
        <v>36</v>
      </c>
      <c r="D22" s="66">
        <v>1.67</v>
      </c>
    </row>
    <row r="23" spans="2:4" ht="17.25" customHeight="1" x14ac:dyDescent="0.25">
      <c r="B23" s="53"/>
      <c r="C23" s="53" t="s">
        <v>37</v>
      </c>
      <c r="D23" s="66">
        <v>2.2000000000000002</v>
      </c>
    </row>
    <row r="24" spans="2:4" ht="17.25" customHeight="1" x14ac:dyDescent="0.25">
      <c r="B24" s="53"/>
      <c r="C24" s="53" t="s">
        <v>38</v>
      </c>
      <c r="D24" s="66">
        <v>3.3</v>
      </c>
    </row>
    <row r="25" spans="2:4" ht="17.25" customHeight="1" x14ac:dyDescent="0.25">
      <c r="B25" s="53"/>
      <c r="C25" s="53" t="s">
        <v>39</v>
      </c>
      <c r="D25" s="66">
        <v>2.2000000000000002</v>
      </c>
    </row>
    <row r="26" spans="2:4" ht="17.25" customHeight="1" x14ac:dyDescent="0.25">
      <c r="B26" s="65" t="s">
        <v>11</v>
      </c>
      <c r="C26" s="53" t="s">
        <v>26</v>
      </c>
      <c r="D26" s="66">
        <v>2</v>
      </c>
    </row>
    <row r="27" spans="2:4" ht="17.25" customHeight="1" x14ac:dyDescent="0.25">
      <c r="B27" s="65"/>
      <c r="C27" s="53"/>
      <c r="D27" s="66"/>
    </row>
    <row r="28" spans="2:4" ht="17.25" customHeight="1" x14ac:dyDescent="0.25">
      <c r="B28" s="65"/>
      <c r="C28" s="53"/>
      <c r="D28" s="66"/>
    </row>
    <row r="36" ht="60" customHeight="1" x14ac:dyDescent="0.25"/>
    <row r="37" ht="60" customHeight="1" x14ac:dyDescent="0.25"/>
    <row r="40" ht="30" customHeight="1" x14ac:dyDescent="0.25"/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B35" sqref="B35"/>
    </sheetView>
  </sheetViews>
  <sheetFormatPr baseColWidth="10" defaultRowHeight="15" x14ac:dyDescent="0.25"/>
  <cols>
    <col min="1" max="1" width="5" style="1" customWidth="1"/>
    <col min="2" max="2" width="46" style="1" bestFit="1" customWidth="1"/>
    <col min="3" max="3" width="7.42578125" style="1" customWidth="1"/>
    <col min="4" max="4" width="11.42578125" style="1"/>
    <col min="5" max="5" width="7.140625" style="1" customWidth="1"/>
    <col min="6" max="16384" width="11.42578125" style="1"/>
  </cols>
  <sheetData>
    <row r="2" spans="2:6" ht="15.75" x14ac:dyDescent="0.25">
      <c r="B2" s="59" t="s">
        <v>2</v>
      </c>
      <c r="C2" s="46"/>
      <c r="D2" s="59" t="s">
        <v>41</v>
      </c>
      <c r="F2" s="59" t="s">
        <v>12</v>
      </c>
    </row>
    <row r="3" spans="2:6" ht="15.75" x14ac:dyDescent="0.25">
      <c r="B3" s="65" t="s">
        <v>33</v>
      </c>
      <c r="C3" s="47"/>
      <c r="D3" s="53" t="s">
        <v>33</v>
      </c>
      <c r="F3" s="65" t="s">
        <v>13</v>
      </c>
    </row>
    <row r="4" spans="2:6" ht="15.75" x14ac:dyDescent="0.25">
      <c r="B4" s="65" t="s">
        <v>117</v>
      </c>
      <c r="C4" s="47"/>
      <c r="D4" s="53" t="s">
        <v>42</v>
      </c>
      <c r="F4" s="65" t="s">
        <v>14</v>
      </c>
    </row>
    <row r="5" spans="2:6" ht="15.75" x14ac:dyDescent="0.25">
      <c r="B5" s="65" t="s">
        <v>7</v>
      </c>
      <c r="C5" s="47"/>
      <c r="D5" s="53" t="s">
        <v>43</v>
      </c>
      <c r="F5" s="65" t="s">
        <v>15</v>
      </c>
    </row>
    <row r="6" spans="2:6" ht="15.75" x14ac:dyDescent="0.25">
      <c r="B6" s="67" t="s">
        <v>8</v>
      </c>
      <c r="C6" s="48"/>
      <c r="D6" s="53" t="s">
        <v>44</v>
      </c>
      <c r="F6" s="65" t="s">
        <v>16</v>
      </c>
    </row>
    <row r="7" spans="2:6" ht="15.75" x14ac:dyDescent="0.25">
      <c r="B7" s="65" t="s">
        <v>40</v>
      </c>
      <c r="C7" s="47"/>
      <c r="D7" s="53" t="s">
        <v>45</v>
      </c>
      <c r="F7" s="65" t="s">
        <v>17</v>
      </c>
    </row>
    <row r="8" spans="2:6" ht="15.75" x14ac:dyDescent="0.25">
      <c r="B8" s="65" t="s">
        <v>9</v>
      </c>
      <c r="C8" s="47"/>
      <c r="D8" s="53" t="s">
        <v>24</v>
      </c>
      <c r="F8" s="65" t="s">
        <v>18</v>
      </c>
    </row>
    <row r="9" spans="2:6" ht="15.75" x14ac:dyDescent="0.25">
      <c r="B9" s="65" t="s">
        <v>10</v>
      </c>
      <c r="C9" s="47"/>
      <c r="D9" s="53" t="s">
        <v>46</v>
      </c>
      <c r="F9" s="65" t="s">
        <v>19</v>
      </c>
    </row>
    <row r="10" spans="2:6" ht="15.75" x14ac:dyDescent="0.25">
      <c r="B10" s="65" t="s">
        <v>11</v>
      </c>
      <c r="C10" s="47"/>
      <c r="D10" s="53" t="s">
        <v>47</v>
      </c>
      <c r="F10" s="65"/>
    </row>
    <row r="11" spans="2:6" ht="15.75" x14ac:dyDescent="0.25">
      <c r="B11" s="65"/>
      <c r="D11" s="65"/>
      <c r="F11" s="65"/>
    </row>
    <row r="12" spans="2:6" ht="15.75" x14ac:dyDescent="0.25">
      <c r="B12" s="65"/>
      <c r="D12" s="65"/>
      <c r="F12" s="65"/>
    </row>
    <row r="13" spans="2:6" ht="15.75" x14ac:dyDescent="0.25">
      <c r="B13" s="65"/>
      <c r="D13" s="65"/>
      <c r="F13" s="6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"/>
  <sheetViews>
    <sheetView topLeftCell="B1" workbookViewId="0">
      <selection activeCell="G9" sqref="G9"/>
    </sheetView>
  </sheetViews>
  <sheetFormatPr baseColWidth="10" defaultRowHeight="15" x14ac:dyDescent="0.25"/>
  <cols>
    <col min="1" max="1" width="6.28515625" style="1" customWidth="1"/>
    <col min="2" max="2" width="10.7109375" style="1" bestFit="1" customWidth="1"/>
    <col min="3" max="3" width="10.5703125" style="1" bestFit="1" customWidth="1"/>
    <col min="4" max="4" width="20.28515625" style="3" bestFit="1" customWidth="1"/>
    <col min="5" max="5" width="11" style="1" bestFit="1" customWidth="1"/>
    <col min="6" max="6" width="12" style="1" bestFit="1" customWidth="1"/>
    <col min="7" max="7" width="25.7109375" style="1" bestFit="1" customWidth="1"/>
    <col min="8" max="8" width="13.140625" style="1" bestFit="1" customWidth="1"/>
    <col min="9" max="9" width="11.85546875" style="1" bestFit="1" customWidth="1"/>
    <col min="10" max="10" width="15.85546875" style="1" bestFit="1" customWidth="1"/>
    <col min="11" max="11" width="13.140625" style="1" bestFit="1" customWidth="1"/>
    <col min="12" max="12" width="14.5703125" style="1" bestFit="1" customWidth="1"/>
    <col min="13" max="13" width="15.5703125" style="1" bestFit="1" customWidth="1"/>
    <col min="14" max="14" width="32.28515625" style="1" bestFit="1" customWidth="1"/>
    <col min="15" max="15" width="19.28515625" style="1" bestFit="1" customWidth="1"/>
    <col min="16" max="16" width="20.85546875" style="1" bestFit="1" customWidth="1"/>
    <col min="17" max="17" width="25.140625" style="1" bestFit="1" customWidth="1"/>
    <col min="18" max="18" width="13.28515625" style="1" bestFit="1" customWidth="1"/>
    <col min="19" max="16384" width="11.42578125" style="1"/>
  </cols>
  <sheetData>
    <row r="2" spans="2:18" ht="15.75" x14ac:dyDescent="0.25">
      <c r="B2" s="59" t="s">
        <v>2</v>
      </c>
      <c r="C2" s="59" t="s">
        <v>50</v>
      </c>
      <c r="D2" s="60" t="s">
        <v>54</v>
      </c>
      <c r="E2" s="59" t="s">
        <v>55</v>
      </c>
      <c r="F2" s="59" t="s">
        <v>56</v>
      </c>
      <c r="G2" s="59" t="s">
        <v>57</v>
      </c>
      <c r="H2" s="59" t="s">
        <v>58</v>
      </c>
      <c r="I2" s="59" t="s">
        <v>59</v>
      </c>
      <c r="J2" s="59" t="s">
        <v>60</v>
      </c>
      <c r="K2" s="59" t="s">
        <v>61</v>
      </c>
      <c r="L2" s="59" t="s">
        <v>62</v>
      </c>
      <c r="M2" s="59" t="s">
        <v>64</v>
      </c>
      <c r="N2" s="59" t="s">
        <v>111</v>
      </c>
      <c r="O2" s="59" t="s">
        <v>63</v>
      </c>
      <c r="P2" s="59" t="s">
        <v>70</v>
      </c>
      <c r="Q2" s="59" t="s">
        <v>100</v>
      </c>
      <c r="R2" s="59" t="s">
        <v>65</v>
      </c>
    </row>
    <row r="3" spans="2:18" ht="15.75" x14ac:dyDescent="0.25">
      <c r="B3" s="61" t="s">
        <v>33</v>
      </c>
      <c r="C3" s="53" t="s">
        <v>51</v>
      </c>
      <c r="D3" s="57">
        <v>4999</v>
      </c>
      <c r="E3" s="57">
        <v>360</v>
      </c>
      <c r="F3" s="58">
        <f t="shared" ref="F3:F8" si="0">D3*0.05</f>
        <v>249.95000000000002</v>
      </c>
      <c r="G3" s="58">
        <f>D3*1.1</f>
        <v>5498.9000000000005</v>
      </c>
      <c r="H3" s="57">
        <f>(G3/6)/12</f>
        <v>76.373611111111117</v>
      </c>
      <c r="I3" s="57">
        <f xml:space="preserve"> (D3/2*0.1)/12</f>
        <v>20.829166666666669</v>
      </c>
      <c r="J3" s="57">
        <f>(D3*0.1)/12</f>
        <v>41.658333333333339</v>
      </c>
      <c r="K3" s="57">
        <f>5*9.49</f>
        <v>47.45</v>
      </c>
      <c r="L3" s="57">
        <f>H3+I3+J3+K3</f>
        <v>186.31111111111113</v>
      </c>
      <c r="M3" s="57">
        <f>L3/120</f>
        <v>1.5525925925925927</v>
      </c>
      <c r="N3" s="57">
        <v>0.71</v>
      </c>
      <c r="O3" s="58">
        <f>(M3+N3)</f>
        <v>2.2625925925925925</v>
      </c>
      <c r="P3" s="58">
        <v>50</v>
      </c>
      <c r="Q3" s="58">
        <f>O3+(P3*0.03)</f>
        <v>3.7625925925925925</v>
      </c>
      <c r="R3" s="58">
        <f t="shared" ref="R3:R8" si="1">(Druckzeit*O3) +( Druckzeit *0.05*P3)</f>
        <v>9.525185185185185</v>
      </c>
    </row>
    <row r="4" spans="2:18" ht="15.75" x14ac:dyDescent="0.25">
      <c r="B4" s="61" t="s">
        <v>33</v>
      </c>
      <c r="C4" s="53" t="s">
        <v>52</v>
      </c>
      <c r="D4" s="57">
        <v>14500</v>
      </c>
      <c r="E4" s="57">
        <v>360</v>
      </c>
      <c r="F4" s="58">
        <f t="shared" si="0"/>
        <v>725</v>
      </c>
      <c r="G4" s="58">
        <f t="shared" ref="G4:G5" si="2">D4*1.1</f>
        <v>15950.000000000002</v>
      </c>
      <c r="H4" s="57">
        <f t="shared" ref="H4:H5" si="3">(G4/6)/12</f>
        <v>221.5277777777778</v>
      </c>
      <c r="I4" s="57">
        <f t="shared" ref="I4:I5" si="4" xml:space="preserve"> (D4/2*0.1)/12</f>
        <v>60.416666666666664</v>
      </c>
      <c r="J4" s="57">
        <f t="shared" ref="J4:J8" si="5">(D4*0.1)/12</f>
        <v>120.83333333333333</v>
      </c>
      <c r="K4" s="57">
        <f t="shared" ref="K4:K8" si="6">5*9.49</f>
        <v>47.45</v>
      </c>
      <c r="L4" s="57">
        <f t="shared" ref="L4:L5" si="7">H4+I4+J4+K4</f>
        <v>450.22777777777776</v>
      </c>
      <c r="M4" s="57">
        <f t="shared" ref="M4:M6" si="8">L4/120</f>
        <v>3.7518981481481481</v>
      </c>
      <c r="N4" s="57">
        <v>0.71</v>
      </c>
      <c r="O4" s="58">
        <f t="shared" ref="O4:O7" si="9">(M4+N4)</f>
        <v>4.4618981481481477</v>
      </c>
      <c r="P4" s="58">
        <v>50</v>
      </c>
      <c r="Q4" s="58">
        <f t="shared" ref="Q4:Q6" si="10">O4+(P4*0.03)</f>
        <v>5.9618981481481477</v>
      </c>
      <c r="R4" s="58">
        <f t="shared" si="1"/>
        <v>13.923796296296295</v>
      </c>
    </row>
    <row r="5" spans="2:18" ht="15.75" x14ac:dyDescent="0.25">
      <c r="B5" s="61" t="s">
        <v>33</v>
      </c>
      <c r="C5" s="53" t="s">
        <v>53</v>
      </c>
      <c r="D5" s="57">
        <v>69000</v>
      </c>
      <c r="E5" s="57">
        <v>540</v>
      </c>
      <c r="F5" s="58">
        <f t="shared" si="0"/>
        <v>3450</v>
      </c>
      <c r="G5" s="58">
        <f t="shared" si="2"/>
        <v>75900</v>
      </c>
      <c r="H5" s="57">
        <f t="shared" si="3"/>
        <v>1054.1666666666667</v>
      </c>
      <c r="I5" s="57">
        <f t="shared" si="4"/>
        <v>287.5</v>
      </c>
      <c r="J5" s="57">
        <f t="shared" si="5"/>
        <v>575</v>
      </c>
      <c r="K5" s="57">
        <f t="shared" si="6"/>
        <v>47.45</v>
      </c>
      <c r="L5" s="57">
        <f t="shared" si="7"/>
        <v>1964.1166666666668</v>
      </c>
      <c r="M5" s="57">
        <f t="shared" si="8"/>
        <v>16.367638888888891</v>
      </c>
      <c r="N5" s="57">
        <v>1</v>
      </c>
      <c r="O5" s="58">
        <f t="shared" si="9"/>
        <v>17.367638888888891</v>
      </c>
      <c r="P5" s="58">
        <v>50</v>
      </c>
      <c r="Q5" s="58">
        <f t="shared" si="10"/>
        <v>18.867638888888891</v>
      </c>
      <c r="R5" s="58">
        <f t="shared" si="1"/>
        <v>39.735277777777782</v>
      </c>
    </row>
    <row r="6" spans="2:18" ht="15.75" x14ac:dyDescent="0.25">
      <c r="B6" s="62" t="s">
        <v>24</v>
      </c>
      <c r="C6" s="53" t="s">
        <v>110</v>
      </c>
      <c r="D6" s="57">
        <v>12099</v>
      </c>
      <c r="E6" s="57">
        <v>360</v>
      </c>
      <c r="F6" s="58">
        <f t="shared" si="0"/>
        <v>604.95000000000005</v>
      </c>
      <c r="G6" s="58">
        <f>D6*1.1</f>
        <v>13308.900000000001</v>
      </c>
      <c r="H6" s="58">
        <f>D6/6/12</f>
        <v>168.04166666666666</v>
      </c>
      <c r="I6" s="58">
        <f>D6/2*0.1/12</f>
        <v>50.412500000000001</v>
      </c>
      <c r="J6" s="57">
        <f t="shared" si="5"/>
        <v>100.825</v>
      </c>
      <c r="K6" s="57">
        <f t="shared" si="6"/>
        <v>47.45</v>
      </c>
      <c r="L6" s="57">
        <f>H6+I6+J6+K6</f>
        <v>366.72916666666663</v>
      </c>
      <c r="M6" s="57">
        <f t="shared" si="8"/>
        <v>3.0560763888888887</v>
      </c>
      <c r="N6" s="57">
        <v>0.71</v>
      </c>
      <c r="O6" s="58">
        <f t="shared" si="9"/>
        <v>3.7660763888888886</v>
      </c>
      <c r="P6" s="58">
        <v>50</v>
      </c>
      <c r="Q6" s="58">
        <f t="shared" si="10"/>
        <v>5.2660763888888891</v>
      </c>
      <c r="R6" s="58">
        <f t="shared" si="1"/>
        <v>12.532152777777778</v>
      </c>
    </row>
    <row r="7" spans="2:18" ht="15.75" x14ac:dyDescent="0.25">
      <c r="B7" s="62" t="s">
        <v>24</v>
      </c>
      <c r="C7" s="53" t="s">
        <v>112</v>
      </c>
      <c r="D7" s="57">
        <v>210000</v>
      </c>
      <c r="E7" s="57">
        <v>1600</v>
      </c>
      <c r="F7" s="58">
        <f t="shared" si="0"/>
        <v>10500</v>
      </c>
      <c r="G7" s="58">
        <f>D7*1.1</f>
        <v>231000.00000000003</v>
      </c>
      <c r="H7" s="58">
        <f>D7/6/12</f>
        <v>2916.6666666666665</v>
      </c>
      <c r="I7" s="58">
        <f>D7/2*0.1/12</f>
        <v>875</v>
      </c>
      <c r="J7" s="57">
        <f t="shared" si="5"/>
        <v>1750</v>
      </c>
      <c r="K7" s="57">
        <f t="shared" si="6"/>
        <v>47.45</v>
      </c>
      <c r="L7" s="57">
        <f>H7+I7+J7+K7</f>
        <v>5589.1166666666659</v>
      </c>
      <c r="M7" s="57">
        <f t="shared" ref="M7" si="11">L7/120</f>
        <v>46.575972222222212</v>
      </c>
      <c r="N7" s="57">
        <v>2</v>
      </c>
      <c r="O7" s="58">
        <f t="shared" si="9"/>
        <v>48.575972222222212</v>
      </c>
      <c r="P7" s="58">
        <v>51</v>
      </c>
      <c r="Q7" s="58">
        <f>O7+(P7*0.03)</f>
        <v>50.105972222222213</v>
      </c>
      <c r="R7" s="58">
        <f t="shared" si="1"/>
        <v>102.25194444444442</v>
      </c>
    </row>
    <row r="8" spans="2:18" ht="15.75" x14ac:dyDescent="0.25">
      <c r="B8" s="63" t="s">
        <v>118</v>
      </c>
      <c r="C8" s="53" t="s">
        <v>119</v>
      </c>
      <c r="D8" s="57">
        <v>5999</v>
      </c>
      <c r="E8" s="57">
        <v>360</v>
      </c>
      <c r="F8" s="58">
        <f t="shared" si="0"/>
        <v>299.95</v>
      </c>
      <c r="G8" s="58">
        <f>D8*1.1</f>
        <v>6598.9000000000005</v>
      </c>
      <c r="H8" s="58">
        <f>D8/6/12</f>
        <v>83.319444444444443</v>
      </c>
      <c r="I8" s="58">
        <f>D8/2*0.1/12</f>
        <v>24.995833333333334</v>
      </c>
      <c r="J8" s="57">
        <f t="shared" si="5"/>
        <v>49.991666666666667</v>
      </c>
      <c r="K8" s="57">
        <f t="shared" si="6"/>
        <v>47.45</v>
      </c>
      <c r="L8" s="57">
        <f>H8+I8+J8+K8</f>
        <v>205.75694444444446</v>
      </c>
      <c r="M8" s="57">
        <f t="shared" ref="M8" si="12">L8/120</f>
        <v>1.7146412037037038</v>
      </c>
      <c r="N8" s="57">
        <v>2</v>
      </c>
      <c r="O8" s="58">
        <f t="shared" ref="O8" si="13">(M8+N8)</f>
        <v>3.714641203703704</v>
      </c>
      <c r="P8" s="58">
        <v>51</v>
      </c>
      <c r="Q8" s="58">
        <f>O8+(P8*0.03)</f>
        <v>5.2446412037037042</v>
      </c>
      <c r="R8" s="58">
        <f t="shared" si="1"/>
        <v>12.529282407407408</v>
      </c>
    </row>
    <row r="9" spans="2:18" ht="15.75" x14ac:dyDescent="0.25">
      <c r="B9" s="64"/>
      <c r="C9" s="53"/>
      <c r="D9" s="57"/>
      <c r="E9" s="57"/>
      <c r="F9" s="58"/>
      <c r="G9" s="58"/>
      <c r="H9" s="58"/>
      <c r="I9" s="58"/>
      <c r="J9" s="57"/>
      <c r="K9" s="57"/>
      <c r="L9" s="57"/>
      <c r="M9" s="57"/>
      <c r="N9" s="57"/>
      <c r="O9" s="58"/>
      <c r="P9" s="58"/>
      <c r="Q9" s="58"/>
      <c r="R9" s="58"/>
    </row>
    <row r="10" spans="2:18" ht="15.75" x14ac:dyDescent="0.25">
      <c r="B10" s="64"/>
      <c r="C10" s="53"/>
      <c r="D10" s="57"/>
      <c r="E10" s="57"/>
      <c r="F10" s="58"/>
      <c r="G10" s="58"/>
      <c r="H10" s="58"/>
      <c r="I10" s="58"/>
      <c r="J10" s="57"/>
      <c r="K10" s="57"/>
      <c r="L10" s="57"/>
      <c r="M10" s="57"/>
      <c r="N10" s="57"/>
      <c r="O10" s="58"/>
      <c r="P10" s="58"/>
      <c r="Q10" s="58"/>
      <c r="R10" s="5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"/>
  <sheetViews>
    <sheetView workbookViewId="0">
      <selection activeCell="C13" sqref="C13"/>
    </sheetView>
  </sheetViews>
  <sheetFormatPr baseColWidth="10" defaultRowHeight="15" x14ac:dyDescent="0.25"/>
  <cols>
    <col min="1" max="1" width="7.28515625" style="1" customWidth="1"/>
    <col min="2" max="2" width="31.28515625" style="1" bestFit="1" customWidth="1"/>
    <col min="3" max="9" width="21" style="1" customWidth="1"/>
    <col min="10" max="16384" width="11.42578125" style="1"/>
  </cols>
  <sheetData>
    <row r="2" spans="2:9" ht="21.75" customHeight="1" x14ac:dyDescent="0.3">
      <c r="B2" s="52" t="s">
        <v>71</v>
      </c>
      <c r="C2" s="53"/>
      <c r="D2" s="53"/>
      <c r="E2" s="53"/>
      <c r="F2" s="53"/>
      <c r="G2" s="53"/>
      <c r="H2" s="53"/>
      <c r="I2" s="53"/>
    </row>
    <row r="3" spans="2:9" ht="21.75" customHeight="1" x14ac:dyDescent="0.25">
      <c r="B3" s="59" t="s">
        <v>72</v>
      </c>
      <c r="C3" s="55" t="s">
        <v>73</v>
      </c>
      <c r="D3" s="55" t="s">
        <v>74</v>
      </c>
      <c r="E3" s="55" t="s">
        <v>76</v>
      </c>
      <c r="F3" s="55" t="s">
        <v>77</v>
      </c>
      <c r="G3" s="55" t="s">
        <v>78</v>
      </c>
      <c r="H3" s="55" t="s">
        <v>75</v>
      </c>
      <c r="I3" s="55" t="s">
        <v>79</v>
      </c>
    </row>
    <row r="4" spans="2:9" ht="21.75" customHeight="1" x14ac:dyDescent="0.25">
      <c r="B4" s="57">
        <v>3000</v>
      </c>
      <c r="C4" s="53">
        <v>4</v>
      </c>
      <c r="D4" s="57">
        <v>115</v>
      </c>
      <c r="E4" s="57">
        <v>166</v>
      </c>
      <c r="F4" s="57">
        <v>50</v>
      </c>
      <c r="G4" s="58">
        <f>B4/(C4*12)+D4+E4+F4</f>
        <v>393.5</v>
      </c>
      <c r="H4" s="57">
        <v>70</v>
      </c>
      <c r="I4" s="58">
        <f>G4/160+H4</f>
        <v>72.459374999999994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30.5703125" style="1" bestFit="1" customWidth="1"/>
    <col min="3" max="3" width="30" style="1" bestFit="1" customWidth="1"/>
    <col min="4" max="4" width="30" style="1" customWidth="1"/>
    <col min="5" max="5" width="26" style="1" bestFit="1" customWidth="1"/>
    <col min="6" max="6" width="29.7109375" style="1" bestFit="1" customWidth="1"/>
    <col min="7" max="7" width="22" style="1" customWidth="1"/>
    <col min="8" max="8" width="16.5703125" style="1" customWidth="1"/>
    <col min="9" max="16384" width="11.42578125" style="1"/>
  </cols>
  <sheetData>
    <row r="2" spans="2:9" ht="20.100000000000001" customHeight="1" x14ac:dyDescent="0.3">
      <c r="B2" s="52" t="s">
        <v>97</v>
      </c>
      <c r="C2" s="53"/>
      <c r="D2" s="53"/>
      <c r="E2" s="53"/>
      <c r="F2" s="53"/>
      <c r="G2" s="53"/>
    </row>
    <row r="3" spans="2:9" ht="20.100000000000001" customHeight="1" x14ac:dyDescent="0.25">
      <c r="B3" s="54" t="s">
        <v>2</v>
      </c>
      <c r="C3" s="55" t="s">
        <v>82</v>
      </c>
      <c r="D3" s="55" t="s">
        <v>115</v>
      </c>
      <c r="E3" s="55" t="s">
        <v>83</v>
      </c>
      <c r="F3" s="55" t="s">
        <v>122</v>
      </c>
      <c r="G3" s="55" t="s">
        <v>95</v>
      </c>
      <c r="I3" s="50"/>
    </row>
    <row r="4" spans="2:9" ht="20.100000000000001" customHeight="1" x14ac:dyDescent="0.25">
      <c r="B4" s="56" t="s">
        <v>33</v>
      </c>
      <c r="C4" s="57">
        <f>(VLOOKUP(Eingabeblatt!D21,Drucker!C3:R8,15,FALSE)/60*5)</f>
        <v>0.31354938271604937</v>
      </c>
      <c r="D4" s="57" t="s">
        <v>113</v>
      </c>
      <c r="E4" s="57">
        <f>('Nachb. FDM&amp;SLS Verfahren'!B6+'Nachb. FDM&amp;SLS Verfahren'!C6)</f>
        <v>0.64140624999999996</v>
      </c>
      <c r="F4" s="53">
        <f>Stützmaterial/2</f>
        <v>3.4950000000000001</v>
      </c>
      <c r="G4" s="58">
        <f>E4*F4+C4</f>
        <v>2.5552642264660497</v>
      </c>
      <c r="H4" s="49"/>
      <c r="I4" s="51"/>
    </row>
    <row r="5" spans="2:9" ht="20.100000000000001" customHeight="1" x14ac:dyDescent="0.25">
      <c r="B5" s="56" t="s">
        <v>9</v>
      </c>
      <c r="C5" s="57">
        <f>(VLOOKUP(Eingabeblatt!D21,Drucker!C3:R8,15,FALSE)/60*5)</f>
        <v>0.31354938271604937</v>
      </c>
      <c r="D5" s="57">
        <f>'Nachb. FDM&amp;SLS Verfahren'!D6</f>
        <v>0.33854166666666663</v>
      </c>
      <c r="E5" s="57" t="s">
        <v>113</v>
      </c>
      <c r="F5" s="53">
        <f>Stützmaterial/4</f>
        <v>1.7475000000000001</v>
      </c>
      <c r="G5" s="58">
        <f>D5*F5+C5</f>
        <v>0.90515094521604933</v>
      </c>
      <c r="I5" s="50"/>
    </row>
    <row r="6" spans="2:9" ht="20.100000000000001" customHeight="1" x14ac:dyDescent="0.25">
      <c r="B6" s="56" t="s">
        <v>10</v>
      </c>
      <c r="C6" s="57">
        <f>(VLOOKUP(Eingabeblatt!D21,Drucker!C3:R8,15,FALSE)/60*5)</f>
        <v>0.31354938271604937</v>
      </c>
      <c r="D6" s="58">
        <f>'Nachb. FDM&amp;SLS Verfahren'!E6</f>
        <v>0.22395833333333334</v>
      </c>
      <c r="E6" s="53" t="s">
        <v>113</v>
      </c>
      <c r="F6" s="58" t="s">
        <v>113</v>
      </c>
      <c r="G6" s="58">
        <f>D6+C6</f>
        <v>0.53750771604938274</v>
      </c>
      <c r="I6" s="51"/>
    </row>
    <row r="7" spans="2:9" ht="20.100000000000001" customHeight="1" x14ac:dyDescent="0.25">
      <c r="B7" s="53"/>
      <c r="C7" s="53"/>
      <c r="D7" s="53"/>
      <c r="E7" s="53"/>
      <c r="F7" s="53"/>
      <c r="G7" s="53"/>
      <c r="I7" s="50"/>
    </row>
    <row r="8" spans="2:9" ht="20.100000000000001" customHeight="1" x14ac:dyDescent="0.25">
      <c r="B8" s="53"/>
      <c r="C8" s="53"/>
      <c r="D8" s="53"/>
      <c r="E8" s="53"/>
      <c r="F8" s="53"/>
      <c r="G8" s="53"/>
      <c r="I8" s="51"/>
    </row>
    <row r="9" spans="2:9" x14ac:dyDescent="0.25">
      <c r="I9" s="50"/>
    </row>
    <row r="10" spans="2:9" ht="20.25" x14ac:dyDescent="0.25">
      <c r="I10" s="51"/>
    </row>
    <row r="11" spans="2:9" x14ac:dyDescent="0.25">
      <c r="I11" s="5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E6" sqref="E6"/>
    </sheetView>
  </sheetViews>
  <sheetFormatPr baseColWidth="10" defaultRowHeight="15" x14ac:dyDescent="0.25"/>
  <cols>
    <col min="1" max="1" width="11.42578125" style="1"/>
    <col min="2" max="2" width="46.140625" style="1" bestFit="1" customWidth="1"/>
    <col min="3" max="3" width="32" style="1" customWidth="1"/>
    <col min="4" max="4" width="42" style="1" customWidth="1"/>
    <col min="5" max="5" width="45.42578125" style="1" bestFit="1" customWidth="1"/>
    <col min="6" max="6" width="30.28515625" style="1" customWidth="1"/>
    <col min="7" max="16384" width="11.42578125" style="1"/>
  </cols>
  <sheetData>
    <row r="2" spans="2:6" ht="21" x14ac:dyDescent="0.35">
      <c r="B2" s="81" t="s">
        <v>33</v>
      </c>
      <c r="C2" s="81"/>
      <c r="D2" s="69" t="s">
        <v>24</v>
      </c>
      <c r="E2" s="70" t="s">
        <v>118</v>
      </c>
      <c r="F2" s="70"/>
    </row>
    <row r="3" spans="2:6" ht="18.75" x14ac:dyDescent="0.3">
      <c r="B3" s="80" t="s">
        <v>83</v>
      </c>
      <c r="C3" s="80"/>
      <c r="D3" s="68" t="s">
        <v>115</v>
      </c>
      <c r="E3" s="68" t="s">
        <v>115</v>
      </c>
      <c r="F3" s="53"/>
    </row>
    <row r="4" spans="2:6" ht="15.75" x14ac:dyDescent="0.25">
      <c r="B4" s="59" t="s">
        <v>84</v>
      </c>
      <c r="C4" s="59" t="s">
        <v>85</v>
      </c>
      <c r="D4" s="53" t="s">
        <v>114</v>
      </c>
      <c r="E4" s="53" t="s">
        <v>120</v>
      </c>
      <c r="F4" s="53"/>
    </row>
    <row r="5" spans="2:6" x14ac:dyDescent="0.25">
      <c r="B5" s="53" t="s">
        <v>96</v>
      </c>
      <c r="C5" s="56" t="s">
        <v>86</v>
      </c>
      <c r="D5" s="53" t="s">
        <v>116</v>
      </c>
      <c r="E5" s="53" t="s">
        <v>121</v>
      </c>
      <c r="F5" s="53"/>
    </row>
    <row r="6" spans="2:6" x14ac:dyDescent="0.25">
      <c r="B6" s="57">
        <f>6495/6/12/160</f>
        <v>0.56380208333333326</v>
      </c>
      <c r="C6" s="57">
        <f>149/12/160</f>
        <v>7.7604166666666669E-2</v>
      </c>
      <c r="D6" s="57">
        <f>650/12/160</f>
        <v>0.33854166666666663</v>
      </c>
      <c r="E6" s="57">
        <f>430/12/160</f>
        <v>0.22395833333333334</v>
      </c>
      <c r="F6" s="53"/>
    </row>
  </sheetData>
  <mergeCells count="2">
    <mergeCell ref="B3:C3"/>
    <mergeCell ref="B2:C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B26" sqref="B26"/>
    </sheetView>
  </sheetViews>
  <sheetFormatPr baseColWidth="10" defaultRowHeight="15" x14ac:dyDescent="0.25"/>
  <cols>
    <col min="1" max="1" width="8.140625" style="1" customWidth="1"/>
    <col min="2" max="5" width="24.140625" style="1" customWidth="1"/>
    <col min="6" max="16384" width="11.42578125" style="1"/>
  </cols>
  <sheetData>
    <row r="2" spans="2:5" ht="18.75" x14ac:dyDescent="0.3">
      <c r="B2" s="52" t="s">
        <v>89</v>
      </c>
      <c r="C2" s="53"/>
      <c r="D2" s="53"/>
      <c r="E2" s="53"/>
    </row>
    <row r="3" spans="2:5" x14ac:dyDescent="0.25">
      <c r="B3" s="56" t="s">
        <v>2</v>
      </c>
      <c r="C3" s="56" t="s">
        <v>98</v>
      </c>
      <c r="D3" s="56" t="s">
        <v>99</v>
      </c>
      <c r="E3" s="56" t="s">
        <v>90</v>
      </c>
    </row>
    <row r="4" spans="2:5" x14ac:dyDescent="0.25">
      <c r="B4" s="53" t="s">
        <v>87</v>
      </c>
      <c r="C4" s="53">
        <f>Druckzeit*0.035</f>
        <v>7.0000000000000007E-2</v>
      </c>
      <c r="D4" s="57">
        <v>70</v>
      </c>
      <c r="E4" s="57">
        <f>C4*D4</f>
        <v>4.9000000000000004</v>
      </c>
    </row>
    <row r="5" spans="2:5" x14ac:dyDescent="0.25">
      <c r="B5" s="53" t="s">
        <v>88</v>
      </c>
      <c r="C5" s="71"/>
      <c r="D5" s="53"/>
      <c r="E5" s="57">
        <v>300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18</vt:i4>
      </vt:variant>
    </vt:vector>
  </HeadingPairs>
  <TitlesOfParts>
    <vt:vector size="26" baseType="lpstr">
      <vt:lpstr>Eingabeblatt</vt:lpstr>
      <vt:lpstr>Materialkosten</vt:lpstr>
      <vt:lpstr>Steuerblatt</vt:lpstr>
      <vt:lpstr>Drucker</vt:lpstr>
      <vt:lpstr>Modul Engineering</vt:lpstr>
      <vt:lpstr>Modul Nachbearbeitung</vt:lpstr>
      <vt:lpstr>Nachb. FDM&amp;SLS Verfahren</vt:lpstr>
      <vt:lpstr>Modul Qualitätsprüfung</vt:lpstr>
      <vt:lpstr>Drucker</vt:lpstr>
      <vt:lpstr>Druckzeit</vt:lpstr>
      <vt:lpstr>IMP_Farbe</vt:lpstr>
      <vt:lpstr>IMP_Kürzel</vt:lpstr>
      <vt:lpstr>IMP_Verfahren</vt:lpstr>
      <vt:lpstr>M_Colorjet</vt:lpstr>
      <vt:lpstr>M_FDM</vt:lpstr>
      <vt:lpstr>M_HARZ</vt:lpstr>
      <vt:lpstr>M_MS</vt:lpstr>
      <vt:lpstr>M_Multijet</vt:lpstr>
      <vt:lpstr>M_PJP</vt:lpstr>
      <vt:lpstr>M_SLM</vt:lpstr>
      <vt:lpstr>M_SLS</vt:lpstr>
      <vt:lpstr>Quaität</vt:lpstr>
      <vt:lpstr>SLS</vt:lpstr>
      <vt:lpstr>Stützmaterial</vt:lpstr>
      <vt:lpstr>Testdrucke</vt:lpstr>
      <vt:lpstr>Volumen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Bassler</dc:creator>
  <cp:lastModifiedBy>Haas, Ludwig</cp:lastModifiedBy>
  <dcterms:created xsi:type="dcterms:W3CDTF">2017-12-22T07:39:20Z</dcterms:created>
  <dcterms:modified xsi:type="dcterms:W3CDTF">2018-06-07T15:56:04Z</dcterms:modified>
</cp:coreProperties>
</file>